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/>
  </bookViews>
  <sheets>
    <sheet name="ΠΡΟΥΠΟΛΟΓΙΣΜΟΣ" sheetId="1" r:id="rId1"/>
    <sheet name="υπολογισμός κόστους 1μ τοιχ" sheetId="4" r:id="rId2"/>
  </sheets>
  <definedNames>
    <definedName name="Excel_BuiltIn_Print_Area_1">#REF!</definedName>
    <definedName name="Excel_BuiltIn_Print_Area_2">#REF!</definedName>
    <definedName name="Excel_BuiltIn_Print_Titles_3">ΠΡΟΥΠΟΛΟΓΙΣΜΟΣ!$6:$8</definedName>
    <definedName name="_xlnm.Print_Area" localSheetId="0">ΠΡΟΥΠΟΛΟΓΙΣΜΟΣ!$A$1:$J$41</definedName>
  </definedNames>
  <calcPr calcId="144525"/>
</workbook>
</file>

<file path=xl/calcChain.xml><?xml version="1.0" encoding="utf-8"?>
<calcChain xmlns="http://schemas.openxmlformats.org/spreadsheetml/2006/main">
  <c r="I14" i="1" l="1"/>
  <c r="I9" i="1" l="1"/>
  <c r="I12" i="1"/>
  <c r="I15" i="1" l="1"/>
  <c r="I16" i="1"/>
  <c r="I13" i="1"/>
  <c r="I18" i="1"/>
  <c r="I17" i="1"/>
  <c r="I11" i="1"/>
  <c r="I20" i="1"/>
  <c r="I19" i="1"/>
  <c r="I10" i="1"/>
  <c r="L29" i="1" l="1"/>
  <c r="L27" i="1" s="1"/>
  <c r="L25" i="1" s="1"/>
  <c r="I45" i="4"/>
  <c r="I44" i="4"/>
  <c r="I43" i="4"/>
  <c r="C46" i="4"/>
  <c r="C45" i="4"/>
  <c r="C44" i="4"/>
  <c r="C43" i="4"/>
  <c r="E21" i="4"/>
  <c r="G19" i="4"/>
  <c r="J3" i="4"/>
  <c r="I3" i="4"/>
  <c r="H3" i="4"/>
  <c r="L28" i="1" l="1"/>
  <c r="L30" i="1" s="1"/>
  <c r="I46" i="4"/>
  <c r="F21" i="4"/>
  <c r="K3" i="4" s="1"/>
  <c r="L3" i="4" s="1"/>
  <c r="M3" i="4" s="1"/>
  <c r="N3" i="4" s="1"/>
  <c r="E39" i="4" l="1"/>
  <c r="D39" i="4"/>
  <c r="G37" i="4"/>
  <c r="E33" i="4"/>
  <c r="D33" i="4"/>
  <c r="G31" i="4"/>
  <c r="E27" i="4"/>
  <c r="D27" i="4"/>
  <c r="G25" i="4"/>
  <c r="I9" i="4"/>
  <c r="G9" i="4"/>
  <c r="H9" i="4" s="1"/>
  <c r="I7" i="4"/>
  <c r="G7" i="4"/>
  <c r="H7" i="4" s="1"/>
  <c r="I5" i="4"/>
  <c r="G5" i="4"/>
  <c r="H5" i="4" l="1"/>
  <c r="F27" i="4"/>
  <c r="K5" i="4" s="1"/>
  <c r="F39" i="4"/>
  <c r="K9" i="4" s="1"/>
  <c r="F33" i="4"/>
  <c r="K7" i="4" s="1"/>
  <c r="J5" i="4"/>
  <c r="J9" i="4"/>
  <c r="J7" i="4"/>
  <c r="L9" i="4" l="1"/>
  <c r="M9" i="4" s="1"/>
  <c r="N9" i="4" s="1"/>
  <c r="L7" i="4"/>
  <c r="M7" i="4" s="1"/>
  <c r="N7" i="4" s="1"/>
  <c r="L5" i="4"/>
  <c r="M5" i="4" s="1"/>
  <c r="N5" i="4" s="1"/>
  <c r="N11" i="4" l="1"/>
  <c r="J21" i="1"/>
  <c r="J23" i="1" s="1"/>
  <c r="L23" i="1" s="1"/>
  <c r="L24" i="1" s="1"/>
  <c r="L26" i="1" s="1"/>
  <c r="L18" i="1" l="1"/>
  <c r="K18" i="1" s="1"/>
  <c r="J24" i="1"/>
  <c r="J25" i="1" s="1"/>
  <c r="J26" i="1" s="1"/>
  <c r="J27" i="1" s="1"/>
  <c r="J29" i="1" l="1"/>
  <c r="J30" i="1" l="1"/>
  <c r="J32" i="1" s="1"/>
</calcChain>
</file>

<file path=xl/sharedStrings.xml><?xml version="1.0" encoding="utf-8"?>
<sst xmlns="http://schemas.openxmlformats.org/spreadsheetml/2006/main" count="155" uniqueCount="115">
  <si>
    <t>ΕΛΛΗΝΙΚΗ ΔΗΜΟΚΡΑΤΙΑ</t>
  </si>
  <si>
    <t>ΕΡΓΟ:</t>
  </si>
  <si>
    <t>ΠΕΡ. ΔΥΤΙΚΗΣ ΜΑΚΕΔΟΝΙΑΣ</t>
  </si>
  <si>
    <t>ΝΟΜ. ΑΥΤΟΔ. ΦΛΩΡΙΝΑΣ</t>
  </si>
  <si>
    <t>ΠΡΟΫΠΟΛΟΓΙΣΜΟΣ ΜΕΛΕΤΗΣ</t>
  </si>
  <si>
    <t>Α/Α</t>
  </si>
  <si>
    <t>ΠΕΡΙΓΡΑΦΗ ΕΡΓΑΣΙΑΣ</t>
  </si>
  <si>
    <t>Α.Τ.</t>
  </si>
  <si>
    <t>ΠΟΣΟΤΗΤΑ</t>
  </si>
  <si>
    <t xml:space="preserve">ΜΟΝΑΔΑ ΜΕΤΡΗΣΗΣ </t>
  </si>
  <si>
    <t>ΤΙΜΗ ΜΟΝΑΔΑΣ</t>
  </si>
  <si>
    <t>ΜΕΡΙΚΗ ΔΑΠΑΝΗ</t>
  </si>
  <si>
    <t>ΟΛΙΚΗ ΔΑΠΑΝΗ</t>
  </si>
  <si>
    <t>Σε μεταφορά</t>
  </si>
  <si>
    <t>ΣΥΝΟΛΙΚΗ ΑΞΙΑ ΕΡΓΑΣΙΩΝ</t>
  </si>
  <si>
    <t>Γ.Ε. &amp; Ο.Ε 18%</t>
  </si>
  <si>
    <t>ΑΘΡΟΙΣΜΑ</t>
  </si>
  <si>
    <t>ΑΠΡΟΒΛΕΠΤΑ</t>
  </si>
  <si>
    <t>ΣΥΝΟΛΟ</t>
  </si>
  <si>
    <t>ΚΩΔΙΚΟΣ ΑΡΘΡΟΥ</t>
  </si>
  <si>
    <t>Δ/ΝΣΗ ΤΕΧΝΙΚΩΝ ΕΡΓΩΝ Π.Ε. ΦΛΩΡΙΝΑΣ</t>
  </si>
  <si>
    <t>ΓΕΝΙΚΗ Δ/ΝΣΗ ΑΝΑΠΤΥΞΙΑΚΟΥ ΠΡΟΓΡ/ΜΟΥ</t>
  </si>
  <si>
    <t>Θεωρήθηκε</t>
  </si>
  <si>
    <t>Ο συντάξας</t>
  </si>
  <si>
    <t>Μήσιας Βασίλειος</t>
  </si>
  <si>
    <t>Πουγαρίδης Ιωάννης</t>
  </si>
  <si>
    <t>Ο Προϊστάμενος</t>
  </si>
  <si>
    <t xml:space="preserve">Πολ. Μηχανικός </t>
  </si>
  <si>
    <t>ΚΩΔΙΚΟΣ ΑΝΑΘΕΩΡΗΣΗΣ</t>
  </si>
  <si>
    <t>ΟΔΟ Β-1.ΣΧ</t>
  </si>
  <si>
    <t>ΟΔΟ-2151</t>
  </si>
  <si>
    <r>
      <t>m</t>
    </r>
    <r>
      <rPr>
        <vertAlign val="superscript"/>
        <sz val="10"/>
        <rFont val="Calibri"/>
        <family val="2"/>
        <charset val="161"/>
      </rPr>
      <t>3</t>
    </r>
  </si>
  <si>
    <t>Κατασκευή βάθρων, πλακών πρόσβασης, τοίχων, θωρακίων κλπ με σκυρόδεμα C20/25</t>
  </si>
  <si>
    <t>ΟΔΟ Β-29.4.5</t>
  </si>
  <si>
    <t>ΟΔΟ-2551</t>
  </si>
  <si>
    <t>Εκσκαφή θεμελίων τεχνικών έργων και τάφρων πλάτους έως 5,0 m με μεταφορά των προϊόντων εκσκαφής</t>
  </si>
  <si>
    <t xml:space="preserve">Καθαρισμός και μόρφωση τάφρου τριγωνικής διατομής ή τάφρου ερείσματος, σε κάθε είδους έδαφος </t>
  </si>
  <si>
    <t>m</t>
  </si>
  <si>
    <t>ΟΔΟ-1310</t>
  </si>
  <si>
    <t>ΑΝΑΘΕΩΡΗΣΗ</t>
  </si>
  <si>
    <t>Τμήματος Συγκοινωνιακών Έργων</t>
  </si>
  <si>
    <t>Μουρατίδης Κωνσταντίνος</t>
  </si>
  <si>
    <t xml:space="preserve">  Ο Δ/ντης </t>
  </si>
  <si>
    <t>Τ.Ε.  Π.Ε. Φλώρινας</t>
  </si>
  <si>
    <t>Τύπος τοιχείου</t>
  </si>
  <si>
    <t>Όγκος σκυρ / μ.μ. (Vi)</t>
  </si>
  <si>
    <t>Κόστος τοίχου / μ.μ.</t>
  </si>
  <si>
    <t>Σκυρόδεμα καθαριότητας C8/10 5cm</t>
  </si>
  <si>
    <t>Προσαύξ. 3% για εκσκαφές</t>
  </si>
  <si>
    <t>Κόστος τοίχου μετά την προσ. (€/μ.μ.)</t>
  </si>
  <si>
    <t>Τ1 (1,40-0,30-2,00)</t>
  </si>
  <si>
    <t>Τ2 (1,70-0,35-2,50)</t>
  </si>
  <si>
    <t>Τ3 (2,55-0,35-3,00)</t>
  </si>
  <si>
    <t>Με ΦΠΑ ΚΛΠ (€/τρέχων m)</t>
  </si>
  <si>
    <t>Για … μ τοιχείου:</t>
  </si>
  <si>
    <t>Βάρος οπλισμού / μ.μ. (+15% με βάση αυτό που δίνει το πρόγραμμα)</t>
  </si>
  <si>
    <t xml:space="preserve">τοιχείο Τ1 </t>
  </si>
  <si>
    <t>Στραγγηστήρια</t>
  </si>
  <si>
    <t>(πλήρωση μέχρι ύψος 1,00μ από την άνω πλευρά του πεδίλου)</t>
  </si>
  <si>
    <t>V αδρανών:</t>
  </si>
  <si>
    <t>S1</t>
  </si>
  <si>
    <t>H</t>
  </si>
  <si>
    <t>L</t>
  </si>
  <si>
    <t>γεωύφασμα</t>
  </si>
  <si>
    <t>2*H</t>
  </si>
  <si>
    <t>2*S1</t>
  </si>
  <si>
    <t>V (m3)</t>
  </si>
  <si>
    <t>με επικάλυψη 20εκ. (m2)</t>
  </si>
  <si>
    <t>Κόστος στραγγηστηρίου</t>
  </si>
  <si>
    <t xml:space="preserve">τοιχείο Τ2 </t>
  </si>
  <si>
    <t>τοιχείο Τ3</t>
  </si>
  <si>
    <t>Γεωύφασμα βάρους 300 gr/m2</t>
  </si>
  <si>
    <t>ΟΔΟ Β-64.4.1</t>
  </si>
  <si>
    <t>ΟΙΚ-7914</t>
  </si>
  <si>
    <t>Σκυρ. Καθαρ</t>
  </si>
  <si>
    <t>Σκυρ. C20/25</t>
  </si>
  <si>
    <t>Χάλυβας</t>
  </si>
  <si>
    <t>V αδρανών</t>
  </si>
  <si>
    <t>Λαμβάνεται 350 μ3</t>
  </si>
  <si>
    <t>Λαμβάνεται 17μ3</t>
  </si>
  <si>
    <t>Λαμβάνεται 240μ3</t>
  </si>
  <si>
    <t>Λαμβάνεται 18.000 χλγ</t>
  </si>
  <si>
    <r>
      <t>m</t>
    </r>
    <r>
      <rPr>
        <vertAlign val="superscript"/>
        <sz val="10"/>
        <rFont val="Calibri"/>
        <family val="2"/>
        <charset val="161"/>
      </rPr>
      <t>2</t>
    </r>
  </si>
  <si>
    <t>Διάνοιξη τάφρου σε έδαφος γαιώδες - ημιβραχώδες</t>
  </si>
  <si>
    <t>ΟΔΟ Α-14.ΣΧ</t>
  </si>
  <si>
    <t>ΟΔΟ Α-4.1.ΣΧ</t>
  </si>
  <si>
    <t>ΟΔΟ-1212</t>
  </si>
  <si>
    <t>Τnew (1,60-0,30-1,70)</t>
  </si>
  <si>
    <t>τοιχείο Τnew</t>
  </si>
  <si>
    <t>gia to Tnew</t>
  </si>
  <si>
    <t>πλήρωση μέχρι 0,70 μ</t>
  </si>
  <si>
    <t>kgr</t>
  </si>
  <si>
    <t>ΟΔΟ Β-30.3</t>
  </si>
  <si>
    <t>ΥΔΡ-7018</t>
  </si>
  <si>
    <t>Φ.Π.Α. 24%</t>
  </si>
  <si>
    <t>ΟΔΟ Α-19.ΣΧ</t>
  </si>
  <si>
    <t>ΟΔΟ-3121Β</t>
  </si>
  <si>
    <t xml:space="preserve">Προμήθεια κοκκώδους υλικού μεγέθους κόκκων 50mm έως 100 mm </t>
  </si>
  <si>
    <t>Χαλύβδινο δομικό πλέγμα B500C εκτός υπογείων έργων</t>
  </si>
  <si>
    <t>Καθαρισμός και μόρφωση ερείσματος οδού</t>
  </si>
  <si>
    <t xml:space="preserve">Γενικές εκσκαφές σε έδαφος γαιώδες -ημιβραχώδες </t>
  </si>
  <si>
    <t>ΟΔΟ Α-2.ΣΧ</t>
  </si>
  <si>
    <t>ΟΔΟ-1123Α</t>
  </si>
  <si>
    <t>Σωλήνες αποστράγγισης διάτρητοι από ΡVC-U, SDR 41, DN 400 mm</t>
  </si>
  <si>
    <t>ΥΔΡ-12.11.06</t>
  </si>
  <si>
    <t xml:space="preserve"> ΥΔΡ 6620.9</t>
  </si>
  <si>
    <t>ΟΔΟ Α-14.1.ΣΧ</t>
  </si>
  <si>
    <t>ΥΔΡ-12.10.06</t>
  </si>
  <si>
    <t>ΥΔΡ 6711.4</t>
  </si>
  <si>
    <t>Αγωγοί αποχέτευσης από σωλήνες PVC-U, SDR 41, DN 315 mm</t>
  </si>
  <si>
    <t>Φλώρινα 22-5-2017</t>
  </si>
  <si>
    <t>Αντιμετώπιση χειμαρρολάβας-καθαρισμός τάφρων στο Εθνικό - Επαρχιακό Οδικό δίκτυο Πρεσπών.</t>
  </si>
  <si>
    <t>Κατασκευή επιχωμάτων</t>
  </si>
  <si>
    <t>ΟΔΟ Α-20</t>
  </si>
  <si>
    <t>ΟΔΟ-1530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</si>
</sst>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#,##0.00\ &quot;€&quot;"/>
    <numFmt numFmtId="166" formatCode="0.00000%"/>
  </numFmts>
  <fonts count="13" x14ac:knownFonts="1">
    <font>
      <sz val="10"/>
      <name val="Arial"/>
      <family val="2"/>
      <charset val="161"/>
    </font>
    <font>
      <sz val="11"/>
      <name val="Calibri"/>
      <family val="2"/>
      <charset val="161"/>
    </font>
    <font>
      <b/>
      <sz val="10"/>
      <name val="Arial"/>
      <family val="2"/>
      <charset val="161"/>
    </font>
    <font>
      <b/>
      <sz val="11"/>
      <name val="Calibri"/>
      <family val="2"/>
      <charset val="161"/>
    </font>
    <font>
      <b/>
      <sz val="10"/>
      <name val="Calibri"/>
      <family val="2"/>
      <charset val="161"/>
    </font>
    <font>
      <sz val="10"/>
      <name val="Calibri"/>
      <family val="2"/>
      <charset val="161"/>
    </font>
    <font>
      <b/>
      <u/>
      <sz val="10"/>
      <name val="Calibri"/>
      <family val="2"/>
      <charset val="161"/>
    </font>
    <font>
      <vertAlign val="superscript"/>
      <sz val="10"/>
      <name val="Calibri"/>
      <family val="2"/>
      <charset val="161"/>
    </font>
    <font>
      <sz val="10"/>
      <color rgb="FFFF0000"/>
      <name val="Arial"/>
      <family val="2"/>
      <charset val="161"/>
    </font>
    <font>
      <sz val="10"/>
      <name val="Arial"/>
      <family val="2"/>
      <charset val="161"/>
    </font>
    <font>
      <sz val="10"/>
      <name val="Arial"/>
      <family val="2"/>
      <charset val="161"/>
    </font>
    <font>
      <sz val="9"/>
      <name val="Times New Roman"/>
      <family val="1"/>
      <charset val="161"/>
    </font>
    <font>
      <sz val="10"/>
      <name val="Arial"/>
      <charset val="161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4">
    <xf numFmtId="0" fontId="0" fillId="0" borderId="0"/>
    <xf numFmtId="0" fontId="10" fillId="0" borderId="0"/>
    <xf numFmtId="0" fontId="11" fillId="0" borderId="0"/>
    <xf numFmtId="0" fontId="12" fillId="0" borderId="0"/>
  </cellStyleXfs>
  <cellXfs count="117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 shrinkToFit="1"/>
    </xf>
    <xf numFmtId="2" fontId="1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wrapText="1"/>
    </xf>
    <xf numFmtId="4" fontId="1" fillId="0" borderId="1" xfId="0" applyNumberFormat="1" applyFont="1" applyBorder="1" applyAlignment="1">
      <alignment horizontal="right" vertical="center"/>
    </xf>
    <xf numFmtId="4" fontId="1" fillId="0" borderId="0" xfId="0" applyNumberFormat="1" applyFont="1"/>
    <xf numFmtId="164" fontId="1" fillId="0" borderId="0" xfId="0" applyNumberFormat="1" applyFont="1"/>
    <xf numFmtId="2" fontId="1" fillId="0" borderId="0" xfId="0" applyNumberFormat="1" applyFont="1"/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0" xfId="0" applyFont="1" applyBorder="1"/>
    <xf numFmtId="0" fontId="6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 wrapText="1" shrinkToFit="1"/>
    </xf>
    <xf numFmtId="4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 shrinkToFit="1"/>
    </xf>
    <xf numFmtId="2" fontId="5" fillId="0" borderId="0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Fill="1" applyAlignment="1">
      <alignment horizontal="left"/>
    </xf>
    <xf numFmtId="0" fontId="10" fillId="0" borderId="0" xfId="1"/>
    <xf numFmtId="0" fontId="2" fillId="0" borderId="0" xfId="1" applyFont="1" applyAlignment="1">
      <alignment horizontal="center"/>
    </xf>
    <xf numFmtId="0" fontId="2" fillId="0" borderId="0" xfId="1" applyFont="1"/>
    <xf numFmtId="0" fontId="10" fillId="0" borderId="0" xfId="1" applyAlignment="1">
      <alignment horizontal="center"/>
    </xf>
    <xf numFmtId="2" fontId="10" fillId="0" borderId="0" xfId="1" applyNumberFormat="1" applyAlignment="1">
      <alignment horizontal="center"/>
    </xf>
    <xf numFmtId="2" fontId="9" fillId="0" borderId="0" xfId="1" applyNumberFormat="1" applyFont="1" applyFill="1" applyAlignment="1">
      <alignment horizontal="center"/>
    </xf>
    <xf numFmtId="0" fontId="9" fillId="0" borderId="0" xfId="1" applyFont="1" applyAlignment="1">
      <alignment horizontal="center"/>
    </xf>
    <xf numFmtId="2" fontId="2" fillId="0" borderId="0" xfId="1" applyNumberFormat="1" applyFont="1"/>
    <xf numFmtId="0" fontId="9" fillId="0" borderId="0" xfId="1" applyFont="1" applyFill="1"/>
    <xf numFmtId="0" fontId="2" fillId="0" borderId="0" xfId="1" applyFont="1" applyAlignment="1">
      <alignment horizontal="center" vertical="center" wrapText="1" shrinkToFit="1"/>
    </xf>
    <xf numFmtId="165" fontId="2" fillId="0" borderId="0" xfId="1" applyNumberFormat="1" applyFont="1"/>
    <xf numFmtId="2" fontId="9" fillId="0" borderId="0" xfId="1" applyNumberFormat="1" applyFont="1"/>
    <xf numFmtId="2" fontId="9" fillId="2" borderId="0" xfId="1" applyNumberFormat="1" applyFont="1" applyFill="1"/>
    <xf numFmtId="2" fontId="9" fillId="3" borderId="0" xfId="1" applyNumberFormat="1" applyFont="1" applyFill="1"/>
    <xf numFmtId="165" fontId="2" fillId="4" borderId="0" xfId="1" applyNumberFormat="1" applyFont="1" applyFill="1" applyBorder="1"/>
    <xf numFmtId="0" fontId="2" fillId="0" borderId="8" xfId="1" applyFont="1" applyBorder="1"/>
    <xf numFmtId="0" fontId="0" fillId="0" borderId="0" xfId="1" applyFont="1"/>
    <xf numFmtId="0" fontId="10" fillId="6" borderId="0" xfId="1" applyFill="1"/>
    <xf numFmtId="0" fontId="8" fillId="6" borderId="0" xfId="1" applyFont="1" applyFill="1" applyAlignment="1">
      <alignment horizontal="center"/>
    </xf>
    <xf numFmtId="0" fontId="0" fillId="6" borderId="0" xfId="1" applyFont="1" applyFill="1"/>
    <xf numFmtId="2" fontId="0" fillId="6" borderId="0" xfId="1" applyNumberFormat="1" applyFont="1" applyFill="1" applyAlignment="1">
      <alignment horizontal="center"/>
    </xf>
    <xf numFmtId="0" fontId="10" fillId="6" borderId="0" xfId="1" applyFill="1" applyAlignment="1">
      <alignment horizontal="center"/>
    </xf>
    <xf numFmtId="2" fontId="10" fillId="6" borderId="0" xfId="1" applyNumberFormat="1" applyFill="1" applyAlignment="1">
      <alignment horizontal="center"/>
    </xf>
    <xf numFmtId="2" fontId="9" fillId="5" borderId="0" xfId="1" applyNumberFormat="1" applyFont="1" applyFill="1"/>
    <xf numFmtId="0" fontId="10" fillId="7" borderId="0" xfId="1" applyFill="1"/>
    <xf numFmtId="0" fontId="8" fillId="7" borderId="0" xfId="1" applyFont="1" applyFill="1" applyAlignment="1">
      <alignment horizontal="center"/>
    </xf>
    <xf numFmtId="0" fontId="0" fillId="7" borderId="0" xfId="1" applyFont="1" applyFill="1"/>
    <xf numFmtId="2" fontId="0" fillId="7" borderId="0" xfId="1" applyNumberFormat="1" applyFont="1" applyFill="1" applyAlignment="1">
      <alignment horizontal="center"/>
    </xf>
    <xf numFmtId="0" fontId="10" fillId="7" borderId="0" xfId="1" applyFill="1" applyAlignment="1">
      <alignment horizontal="center"/>
    </xf>
    <xf numFmtId="2" fontId="10" fillId="7" borderId="0" xfId="1" applyNumberFormat="1" applyFill="1" applyAlignment="1">
      <alignment horizontal="center"/>
    </xf>
    <xf numFmtId="0" fontId="9" fillId="7" borderId="0" xfId="1" applyFont="1" applyFill="1" applyAlignment="1">
      <alignment horizontal="center"/>
    </xf>
    <xf numFmtId="0" fontId="0" fillId="6" borderId="0" xfId="1" applyFont="1" applyFill="1" applyAlignment="1">
      <alignment horizontal="center"/>
    </xf>
    <xf numFmtId="0" fontId="0" fillId="8" borderId="0" xfId="1" applyFont="1" applyFill="1" applyAlignment="1">
      <alignment horizontal="center"/>
    </xf>
    <xf numFmtId="0" fontId="10" fillId="8" borderId="0" xfId="1" applyFill="1"/>
    <xf numFmtId="0" fontId="8" fillId="8" borderId="0" xfId="1" applyFont="1" applyFill="1" applyAlignment="1">
      <alignment horizontal="center"/>
    </xf>
    <xf numFmtId="0" fontId="0" fillId="8" borderId="0" xfId="1" applyFont="1" applyFill="1"/>
    <xf numFmtId="2" fontId="0" fillId="8" borderId="0" xfId="1" applyNumberFormat="1" applyFont="1" applyFill="1" applyAlignment="1">
      <alignment horizontal="center"/>
    </xf>
    <xf numFmtId="0" fontId="10" fillId="8" borderId="0" xfId="1" applyFill="1" applyAlignment="1">
      <alignment horizontal="center"/>
    </xf>
    <xf numFmtId="2" fontId="10" fillId="8" borderId="0" xfId="1" applyNumberFormat="1" applyFill="1" applyAlignment="1">
      <alignment horizontal="center"/>
    </xf>
    <xf numFmtId="166" fontId="1" fillId="0" borderId="0" xfId="0" applyNumberFormat="1" applyFont="1"/>
    <xf numFmtId="0" fontId="0" fillId="7" borderId="0" xfId="1" applyFont="1" applyFill="1" applyAlignment="1">
      <alignment horizontal="center"/>
    </xf>
    <xf numFmtId="0" fontId="0" fillId="0" borderId="0" xfId="1" applyFont="1" applyFill="1"/>
    <xf numFmtId="2" fontId="10" fillId="0" borderId="0" xfId="1" applyNumberFormat="1" applyFill="1" applyAlignment="1">
      <alignment horizontal="center"/>
    </xf>
    <xf numFmtId="0" fontId="10" fillId="0" borderId="0" xfId="1" applyFill="1" applyAlignment="1">
      <alignment horizontal="center"/>
    </xf>
    <xf numFmtId="0" fontId="0" fillId="9" borderId="0" xfId="1" applyFont="1" applyFill="1" applyAlignment="1">
      <alignment horizontal="center"/>
    </xf>
    <xf numFmtId="0" fontId="10" fillId="9" borderId="0" xfId="1" applyFill="1"/>
    <xf numFmtId="0" fontId="8" fillId="9" borderId="0" xfId="1" applyFont="1" applyFill="1" applyAlignment="1">
      <alignment horizontal="center"/>
    </xf>
    <xf numFmtId="0" fontId="0" fillId="9" borderId="0" xfId="1" applyFont="1" applyFill="1"/>
    <xf numFmtId="2" fontId="0" fillId="9" borderId="0" xfId="1" applyNumberFormat="1" applyFont="1" applyFill="1" applyAlignment="1">
      <alignment horizontal="center"/>
    </xf>
    <xf numFmtId="0" fontId="10" fillId="9" borderId="0" xfId="1" applyFill="1" applyAlignment="1">
      <alignment horizontal="center"/>
    </xf>
    <xf numFmtId="2" fontId="10" fillId="9" borderId="0" xfId="1" applyNumberForma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right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top" wrapText="1" shrinkToFit="1"/>
    </xf>
    <xf numFmtId="0" fontId="3" fillId="0" borderId="3" xfId="0" applyFont="1" applyFill="1" applyBorder="1" applyAlignment="1">
      <alignment horizontal="center" vertical="top" wrapText="1" shrinkToFit="1"/>
    </xf>
    <xf numFmtId="0" fontId="3" fillId="0" borderId="4" xfId="0" applyFont="1" applyFill="1" applyBorder="1" applyAlignment="1">
      <alignment horizontal="center" vertical="top" wrapText="1" shrinkToFit="1"/>
    </xf>
    <xf numFmtId="0" fontId="3" fillId="0" borderId="5" xfId="0" applyFont="1" applyFill="1" applyBorder="1" applyAlignment="1">
      <alignment horizontal="center" vertical="top" wrapText="1" shrinkToFit="1"/>
    </xf>
    <xf numFmtId="0" fontId="3" fillId="0" borderId="0" xfId="0" applyFont="1" applyFill="1" applyBorder="1" applyAlignment="1">
      <alignment horizontal="center" vertical="top" wrapText="1" shrinkToFit="1"/>
    </xf>
    <xf numFmtId="0" fontId="3" fillId="0" borderId="6" xfId="0" applyFont="1" applyFill="1" applyBorder="1" applyAlignment="1">
      <alignment horizontal="center" vertical="top" wrapText="1" shrinkToFit="1"/>
    </xf>
    <xf numFmtId="0" fontId="3" fillId="0" borderId="7" xfId="0" applyFont="1" applyFill="1" applyBorder="1" applyAlignment="1">
      <alignment horizontal="center" vertical="top" wrapText="1" shrinkToFit="1"/>
    </xf>
    <xf numFmtId="0" fontId="3" fillId="0" borderId="8" xfId="0" applyFont="1" applyFill="1" applyBorder="1" applyAlignment="1">
      <alignment horizontal="center" vertical="top" wrapText="1" shrinkToFit="1"/>
    </xf>
    <xf numFmtId="0" fontId="3" fillId="0" borderId="9" xfId="0" applyFont="1" applyFill="1" applyBorder="1" applyAlignment="1">
      <alignment horizontal="center" vertical="top" wrapText="1" shrinkToFit="1"/>
    </xf>
    <xf numFmtId="0" fontId="6" fillId="0" borderId="0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 shrinkToFit="1"/>
    </xf>
    <xf numFmtId="0" fontId="4" fillId="0" borderId="12" xfId="0" applyFont="1" applyFill="1" applyBorder="1" applyAlignment="1">
      <alignment horizontal="center" vertical="center" wrapText="1" shrinkToFit="1"/>
    </xf>
    <xf numFmtId="0" fontId="1" fillId="0" borderId="0" xfId="0" applyFont="1" applyAlignment="1">
      <alignment horizontal="center" wrapText="1"/>
    </xf>
    <xf numFmtId="4" fontId="4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2" fontId="1" fillId="0" borderId="10" xfId="0" applyNumberFormat="1" applyFont="1" applyBorder="1" applyAlignment="1">
      <alignment horizontal="left" vertical="center"/>
    </xf>
    <xf numFmtId="2" fontId="1" fillId="0" borderId="11" xfId="0" applyNumberFormat="1" applyFont="1" applyBorder="1" applyAlignment="1">
      <alignment horizontal="left" vertical="center"/>
    </xf>
    <xf numFmtId="0" fontId="8" fillId="9" borderId="0" xfId="1" applyFont="1" applyFill="1" applyAlignment="1">
      <alignment horizontal="center"/>
    </xf>
    <xf numFmtId="0" fontId="10" fillId="9" borderId="0" xfId="1" applyFill="1" applyAlignment="1">
      <alignment horizontal="center"/>
    </xf>
    <xf numFmtId="0" fontId="10" fillId="6" borderId="0" xfId="1" applyFill="1" applyAlignment="1">
      <alignment horizontal="center"/>
    </xf>
    <xf numFmtId="0" fontId="8" fillId="7" borderId="0" xfId="1" applyFont="1" applyFill="1" applyAlignment="1">
      <alignment horizontal="center"/>
    </xf>
    <xf numFmtId="0" fontId="10" fillId="7" borderId="0" xfId="1" applyFill="1" applyAlignment="1">
      <alignment horizontal="center"/>
    </xf>
    <xf numFmtId="0" fontId="8" fillId="8" borderId="0" xfId="1" applyFont="1" applyFill="1" applyAlignment="1">
      <alignment horizontal="center"/>
    </xf>
    <xf numFmtId="0" fontId="10" fillId="8" borderId="0" xfId="1" applyFill="1" applyAlignment="1">
      <alignment horizontal="center"/>
    </xf>
    <xf numFmtId="0" fontId="8" fillId="6" borderId="0" xfId="1" applyFont="1" applyFill="1" applyAlignment="1">
      <alignment horizontal="center"/>
    </xf>
  </cellXfs>
  <cellStyles count="4">
    <cellStyle name="Normal_NEOPRoMEL" xfId="2"/>
    <cellStyle name="Κανονικό" xfId="0" builtinId="0"/>
    <cellStyle name="Κανονικό 2" xfId="1"/>
    <cellStyle name="Κανονικό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view="pageBreakPreview" zoomScaleNormal="100" workbookViewId="0">
      <selection activeCell="C10" sqref="C10:C20"/>
    </sheetView>
  </sheetViews>
  <sheetFormatPr defaultRowHeight="15" x14ac:dyDescent="0.25"/>
  <cols>
    <col min="1" max="1" width="4" style="1" customWidth="1"/>
    <col min="2" max="2" width="39.7109375" style="1" customWidth="1"/>
    <col min="3" max="3" width="3.85546875" style="1" bestFit="1" customWidth="1"/>
    <col min="4" max="4" width="12.42578125" style="1" customWidth="1"/>
    <col min="5" max="5" width="12.7109375" style="1" customWidth="1"/>
    <col min="6" max="6" width="14.5703125" style="1" customWidth="1"/>
    <col min="7" max="7" width="13.42578125" style="1" customWidth="1"/>
    <col min="8" max="8" width="9.85546875" style="1" customWidth="1"/>
    <col min="9" max="9" width="11.140625" style="1" customWidth="1"/>
    <col min="10" max="10" width="13" style="1" customWidth="1"/>
    <col min="11" max="11" width="10.5703125" style="1" bestFit="1" customWidth="1"/>
    <col min="12" max="12" width="9.140625" style="1" customWidth="1"/>
    <col min="13" max="16384" width="9.140625" style="1"/>
  </cols>
  <sheetData>
    <row r="1" spans="1:12" ht="13.5" customHeight="1" x14ac:dyDescent="0.25">
      <c r="A1" s="18" t="s">
        <v>0</v>
      </c>
      <c r="B1" s="18"/>
      <c r="C1" s="19"/>
      <c r="D1" s="20"/>
      <c r="E1" s="21" t="s">
        <v>1</v>
      </c>
      <c r="F1" s="87" t="s">
        <v>111</v>
      </c>
      <c r="G1" s="88"/>
      <c r="H1" s="88"/>
      <c r="I1" s="88"/>
      <c r="J1" s="89"/>
    </row>
    <row r="2" spans="1:12" ht="13.5" customHeight="1" x14ac:dyDescent="0.25">
      <c r="A2" s="18" t="s">
        <v>2</v>
      </c>
      <c r="B2" s="18"/>
      <c r="C2" s="19"/>
      <c r="D2" s="22"/>
      <c r="E2" s="22"/>
      <c r="F2" s="90"/>
      <c r="G2" s="91"/>
      <c r="H2" s="91"/>
      <c r="I2" s="91"/>
      <c r="J2" s="92"/>
    </row>
    <row r="3" spans="1:12" ht="13.5" customHeight="1" x14ac:dyDescent="0.25">
      <c r="A3" s="18" t="s">
        <v>21</v>
      </c>
      <c r="B3" s="18"/>
      <c r="C3" s="19"/>
      <c r="D3" s="22"/>
      <c r="E3" s="22"/>
      <c r="F3" s="93"/>
      <c r="G3" s="94"/>
      <c r="H3" s="94"/>
      <c r="I3" s="94"/>
      <c r="J3" s="95"/>
    </row>
    <row r="4" spans="1:12" x14ac:dyDescent="0.25">
      <c r="A4" s="18" t="s">
        <v>3</v>
      </c>
      <c r="B4" s="18"/>
      <c r="C4" s="19"/>
      <c r="D4" s="20"/>
      <c r="E4" s="20"/>
      <c r="F4" s="20"/>
      <c r="G4" s="20"/>
      <c r="H4" s="20"/>
      <c r="I4" s="20"/>
      <c r="J4" s="20"/>
    </row>
    <row r="5" spans="1:12" x14ac:dyDescent="0.25">
      <c r="A5" s="18" t="s">
        <v>20</v>
      </c>
      <c r="B5" s="18"/>
      <c r="C5" s="19"/>
      <c r="D5" s="19"/>
      <c r="E5" s="19"/>
      <c r="F5" s="19"/>
      <c r="G5" s="19"/>
      <c r="H5" s="19"/>
      <c r="I5" s="19"/>
      <c r="J5" s="19"/>
    </row>
    <row r="6" spans="1:12" ht="18.600000000000001" customHeight="1" x14ac:dyDescent="0.25">
      <c r="A6" s="96" t="s">
        <v>4</v>
      </c>
      <c r="B6" s="96"/>
      <c r="C6" s="96"/>
      <c r="D6" s="96"/>
      <c r="E6" s="96"/>
      <c r="F6" s="96"/>
      <c r="G6" s="96"/>
      <c r="H6" s="96"/>
      <c r="I6" s="96"/>
      <c r="J6" s="96"/>
    </row>
    <row r="7" spans="1:12" ht="15" customHeight="1" x14ac:dyDescent="0.25">
      <c r="A7" s="98" t="s">
        <v>5</v>
      </c>
      <c r="B7" s="98" t="s">
        <v>6</v>
      </c>
      <c r="C7" s="98" t="s">
        <v>7</v>
      </c>
      <c r="D7" s="97" t="s">
        <v>19</v>
      </c>
      <c r="E7" s="97" t="s">
        <v>28</v>
      </c>
      <c r="F7" s="99" t="s">
        <v>9</v>
      </c>
      <c r="G7" s="98" t="s">
        <v>8</v>
      </c>
      <c r="H7" s="97" t="s">
        <v>10</v>
      </c>
      <c r="I7" s="97" t="s">
        <v>11</v>
      </c>
      <c r="J7" s="97" t="s">
        <v>12</v>
      </c>
    </row>
    <row r="8" spans="1:12" x14ac:dyDescent="0.25">
      <c r="A8" s="98"/>
      <c r="B8" s="98"/>
      <c r="C8" s="98"/>
      <c r="D8" s="97"/>
      <c r="E8" s="97"/>
      <c r="F8" s="100"/>
      <c r="G8" s="98"/>
      <c r="H8" s="97"/>
      <c r="I8" s="97"/>
      <c r="J8" s="97"/>
    </row>
    <row r="9" spans="1:12" s="2" customFormat="1" ht="25.5" x14ac:dyDescent="0.25">
      <c r="A9" s="82">
        <v>1</v>
      </c>
      <c r="B9" s="83" t="s">
        <v>100</v>
      </c>
      <c r="C9" s="82">
        <v>1</v>
      </c>
      <c r="D9" s="85" t="s">
        <v>101</v>
      </c>
      <c r="E9" s="85" t="s">
        <v>102</v>
      </c>
      <c r="F9" s="85" t="s">
        <v>31</v>
      </c>
      <c r="G9" s="84">
        <v>60</v>
      </c>
      <c r="H9" s="84">
        <v>1.65</v>
      </c>
      <c r="I9" s="86">
        <f t="shared" ref="I9:I20" si="0">ROUND(G9*H9,2)</f>
        <v>99</v>
      </c>
      <c r="J9" s="24"/>
      <c r="L9" s="23">
        <v>21000</v>
      </c>
    </row>
    <row r="10" spans="1:12" s="2" customFormat="1" ht="25.5" x14ac:dyDescent="0.25">
      <c r="A10" s="82">
        <v>2</v>
      </c>
      <c r="B10" s="83" t="s">
        <v>83</v>
      </c>
      <c r="C10" s="82">
        <v>2</v>
      </c>
      <c r="D10" s="85" t="s">
        <v>85</v>
      </c>
      <c r="E10" s="85" t="s">
        <v>86</v>
      </c>
      <c r="F10" s="85" t="s">
        <v>31</v>
      </c>
      <c r="G10" s="84">
        <v>40</v>
      </c>
      <c r="H10" s="84">
        <v>2.6</v>
      </c>
      <c r="I10" s="86">
        <f t="shared" si="0"/>
        <v>104</v>
      </c>
      <c r="J10" s="24"/>
      <c r="L10" s="23"/>
    </row>
    <row r="11" spans="1:12" s="2" customFormat="1" ht="38.25" x14ac:dyDescent="0.25">
      <c r="A11" s="82">
        <v>3</v>
      </c>
      <c r="B11" s="83" t="s">
        <v>36</v>
      </c>
      <c r="C11" s="82">
        <v>3</v>
      </c>
      <c r="D11" s="85" t="s">
        <v>84</v>
      </c>
      <c r="E11" s="85" t="s">
        <v>38</v>
      </c>
      <c r="F11" s="85" t="s">
        <v>37</v>
      </c>
      <c r="G11" s="84">
        <v>11000</v>
      </c>
      <c r="H11" s="84">
        <v>0.7</v>
      </c>
      <c r="I11" s="86">
        <f t="shared" si="0"/>
        <v>7700</v>
      </c>
      <c r="J11" s="24"/>
      <c r="L11" s="23"/>
    </row>
    <row r="12" spans="1:12" s="2" customFormat="1" ht="25.5" x14ac:dyDescent="0.25">
      <c r="A12" s="82">
        <v>4</v>
      </c>
      <c r="B12" s="83" t="s">
        <v>99</v>
      </c>
      <c r="C12" s="82">
        <v>4</v>
      </c>
      <c r="D12" s="85" t="s">
        <v>106</v>
      </c>
      <c r="E12" s="85" t="s">
        <v>38</v>
      </c>
      <c r="F12" s="85" t="s">
        <v>37</v>
      </c>
      <c r="G12" s="84">
        <v>800</v>
      </c>
      <c r="H12" s="84">
        <v>0.55000000000000004</v>
      </c>
      <c r="I12" s="86">
        <f t="shared" si="0"/>
        <v>440</v>
      </c>
      <c r="J12" s="24"/>
      <c r="L12" s="86"/>
    </row>
    <row r="13" spans="1:12" s="2" customFormat="1" ht="25.5" x14ac:dyDescent="0.25">
      <c r="A13" s="82">
        <v>5</v>
      </c>
      <c r="B13" s="83" t="s">
        <v>97</v>
      </c>
      <c r="C13" s="82">
        <v>5</v>
      </c>
      <c r="D13" s="85" t="s">
        <v>95</v>
      </c>
      <c r="E13" s="85" t="s">
        <v>96</v>
      </c>
      <c r="F13" s="85" t="s">
        <v>31</v>
      </c>
      <c r="G13" s="84">
        <v>170</v>
      </c>
      <c r="H13" s="84">
        <v>14.85</v>
      </c>
      <c r="I13" s="86">
        <f t="shared" si="0"/>
        <v>2524.5</v>
      </c>
      <c r="J13" s="24"/>
      <c r="L13" s="23">
        <v>2.65</v>
      </c>
    </row>
    <row r="14" spans="1:12" s="2" customFormat="1" x14ac:dyDescent="0.25">
      <c r="A14" s="82">
        <v>6</v>
      </c>
      <c r="B14" s="83" t="s">
        <v>112</v>
      </c>
      <c r="C14" s="82">
        <v>6</v>
      </c>
      <c r="D14" s="85" t="s">
        <v>113</v>
      </c>
      <c r="E14" s="85" t="s">
        <v>114</v>
      </c>
      <c r="F14" s="85" t="s">
        <v>31</v>
      </c>
      <c r="G14" s="84">
        <v>170</v>
      </c>
      <c r="H14" s="84">
        <v>1.05</v>
      </c>
      <c r="I14" s="86">
        <f t="shared" si="0"/>
        <v>178.5</v>
      </c>
      <c r="J14" s="24"/>
      <c r="L14" s="86"/>
    </row>
    <row r="15" spans="1:12" s="2" customFormat="1" ht="38.25" x14ac:dyDescent="0.25">
      <c r="A15" s="82">
        <v>7</v>
      </c>
      <c r="B15" s="83" t="s">
        <v>35</v>
      </c>
      <c r="C15" s="82">
        <v>7</v>
      </c>
      <c r="D15" s="85" t="s">
        <v>29</v>
      </c>
      <c r="E15" s="85" t="s">
        <v>30</v>
      </c>
      <c r="F15" s="85" t="s">
        <v>31</v>
      </c>
      <c r="G15" s="84">
        <v>150</v>
      </c>
      <c r="H15" s="84">
        <v>4.95</v>
      </c>
      <c r="I15" s="86">
        <f t="shared" si="0"/>
        <v>742.5</v>
      </c>
      <c r="J15" s="24"/>
      <c r="L15" s="86"/>
    </row>
    <row r="16" spans="1:12" s="2" customFormat="1" ht="25.5" x14ac:dyDescent="0.25">
      <c r="A16" s="82">
        <v>8</v>
      </c>
      <c r="B16" s="83" t="s">
        <v>32</v>
      </c>
      <c r="C16" s="82">
        <v>8</v>
      </c>
      <c r="D16" s="85" t="s">
        <v>33</v>
      </c>
      <c r="E16" s="85" t="s">
        <v>34</v>
      </c>
      <c r="F16" s="85" t="s">
        <v>31</v>
      </c>
      <c r="G16" s="84">
        <v>67</v>
      </c>
      <c r="H16" s="84">
        <v>133</v>
      </c>
      <c r="I16" s="86">
        <f t="shared" si="0"/>
        <v>8911</v>
      </c>
      <c r="J16" s="24"/>
      <c r="L16" s="23">
        <v>51.4</v>
      </c>
    </row>
    <row r="17" spans="1:12" s="2" customFormat="1" ht="25.5" x14ac:dyDescent="0.25">
      <c r="A17" s="82">
        <v>9</v>
      </c>
      <c r="B17" s="83" t="s">
        <v>98</v>
      </c>
      <c r="C17" s="82">
        <v>9</v>
      </c>
      <c r="D17" s="85" t="s">
        <v>92</v>
      </c>
      <c r="E17" s="85" t="s">
        <v>93</v>
      </c>
      <c r="F17" s="85" t="s">
        <v>91</v>
      </c>
      <c r="G17" s="84">
        <v>1160</v>
      </c>
      <c r="H17" s="84">
        <v>1.1499999999999999</v>
      </c>
      <c r="I17" s="86">
        <f t="shared" si="0"/>
        <v>1334</v>
      </c>
      <c r="J17" s="24"/>
      <c r="L17" s="23">
        <v>4389</v>
      </c>
    </row>
    <row r="18" spans="1:12" s="2" customFormat="1" x14ac:dyDescent="0.25">
      <c r="A18" s="82">
        <v>10</v>
      </c>
      <c r="B18" s="83" t="s">
        <v>71</v>
      </c>
      <c r="C18" s="82">
        <v>10</v>
      </c>
      <c r="D18" s="85" t="s">
        <v>72</v>
      </c>
      <c r="E18" s="85" t="s">
        <v>73</v>
      </c>
      <c r="F18" s="85" t="s">
        <v>82</v>
      </c>
      <c r="G18" s="84">
        <v>400</v>
      </c>
      <c r="H18" s="84">
        <v>2.4</v>
      </c>
      <c r="I18" s="86">
        <f t="shared" si="0"/>
        <v>960</v>
      </c>
      <c r="J18" s="24"/>
      <c r="K18" s="2">
        <f>L18/1.15</f>
        <v>2500</v>
      </c>
      <c r="L18" s="23">
        <f>2875+L23-J23</f>
        <v>2875</v>
      </c>
    </row>
    <row r="19" spans="1:12" s="2" customFormat="1" ht="25.5" x14ac:dyDescent="0.25">
      <c r="A19" s="82">
        <v>11</v>
      </c>
      <c r="B19" s="83" t="s">
        <v>109</v>
      </c>
      <c r="C19" s="82">
        <v>11</v>
      </c>
      <c r="D19" s="85" t="s">
        <v>107</v>
      </c>
      <c r="E19" s="85" t="s">
        <v>108</v>
      </c>
      <c r="F19" s="85" t="s">
        <v>37</v>
      </c>
      <c r="G19" s="84">
        <v>50</v>
      </c>
      <c r="H19" s="84">
        <v>22.8</v>
      </c>
      <c r="I19" s="86">
        <f t="shared" si="0"/>
        <v>1140</v>
      </c>
      <c r="J19" s="24"/>
      <c r="L19" s="23">
        <v>120</v>
      </c>
    </row>
    <row r="20" spans="1:12" s="2" customFormat="1" ht="25.5" x14ac:dyDescent="0.25">
      <c r="A20" s="82">
        <v>12</v>
      </c>
      <c r="B20" s="83" t="s">
        <v>103</v>
      </c>
      <c r="C20" s="82">
        <v>12</v>
      </c>
      <c r="D20" s="85" t="s">
        <v>104</v>
      </c>
      <c r="E20" s="85" t="s">
        <v>105</v>
      </c>
      <c r="F20" s="85" t="s">
        <v>37</v>
      </c>
      <c r="G20" s="84">
        <v>120</v>
      </c>
      <c r="H20" s="84">
        <v>46</v>
      </c>
      <c r="I20" s="86">
        <f t="shared" si="0"/>
        <v>5520</v>
      </c>
      <c r="J20" s="24"/>
      <c r="L20" s="23">
        <v>535</v>
      </c>
    </row>
    <row r="21" spans="1:12" x14ac:dyDescent="0.25">
      <c r="A21" s="25"/>
      <c r="B21" s="26"/>
      <c r="C21" s="25"/>
      <c r="D21" s="27"/>
      <c r="E21" s="25"/>
      <c r="F21" s="25"/>
      <c r="G21" s="25"/>
      <c r="H21" s="102" t="s">
        <v>13</v>
      </c>
      <c r="I21" s="102"/>
      <c r="J21" s="28">
        <f>SUM(I9:I20)</f>
        <v>29653.5</v>
      </c>
    </row>
    <row r="22" spans="1:12" x14ac:dyDescent="0.25">
      <c r="A22" s="3"/>
      <c r="B22" s="4"/>
      <c r="C22" s="3"/>
      <c r="D22" s="5"/>
      <c r="E22" s="3"/>
      <c r="F22" s="3"/>
      <c r="G22" s="3"/>
      <c r="H22" s="5"/>
      <c r="I22" s="6"/>
      <c r="J22" s="7"/>
    </row>
    <row r="23" spans="1:12" x14ac:dyDescent="0.25">
      <c r="A23" s="8"/>
      <c r="C23" s="8"/>
      <c r="D23" s="9"/>
      <c r="E23" s="8"/>
      <c r="F23" s="8"/>
      <c r="G23" s="8"/>
      <c r="H23" s="103" t="s">
        <v>14</v>
      </c>
      <c r="I23" s="103"/>
      <c r="J23" s="10">
        <f>J21</f>
        <v>29653.5</v>
      </c>
      <c r="L23" s="10">
        <f>J23</f>
        <v>29653.5</v>
      </c>
    </row>
    <row r="24" spans="1:12" x14ac:dyDescent="0.25">
      <c r="A24" s="8"/>
      <c r="B24" s="11"/>
      <c r="C24" s="8"/>
      <c r="D24" s="9"/>
      <c r="E24" s="8"/>
      <c r="F24" s="8"/>
      <c r="G24" s="8"/>
      <c r="H24" s="105" t="s">
        <v>15</v>
      </c>
      <c r="I24" s="105"/>
      <c r="J24" s="12">
        <f>ROUND(J23*0.18,2)</f>
        <v>5337.63</v>
      </c>
      <c r="L24" s="12">
        <f>ROUND(L23*0.18,2)</f>
        <v>5337.63</v>
      </c>
    </row>
    <row r="25" spans="1:12" x14ac:dyDescent="0.25">
      <c r="A25" s="8"/>
      <c r="B25" s="11"/>
      <c r="C25" s="8"/>
      <c r="D25" s="9"/>
      <c r="E25" s="8"/>
      <c r="F25" s="8"/>
      <c r="G25" s="8"/>
      <c r="H25" s="106" t="s">
        <v>16</v>
      </c>
      <c r="I25" s="106"/>
      <c r="J25" s="12">
        <f>J24+J23</f>
        <v>34991.129999999997</v>
      </c>
      <c r="K25" s="13"/>
      <c r="L25" s="12">
        <f>L27/1.15</f>
        <v>34998.19759282397</v>
      </c>
    </row>
    <row r="26" spans="1:12" x14ac:dyDescent="0.25">
      <c r="A26" s="8"/>
      <c r="B26" s="11"/>
      <c r="C26" s="8"/>
      <c r="D26" s="9"/>
      <c r="E26" s="8"/>
      <c r="F26" s="8"/>
      <c r="G26" s="8"/>
      <c r="H26" s="105" t="s">
        <v>17</v>
      </c>
      <c r="I26" s="105"/>
      <c r="J26" s="12">
        <f>J25*0.15</f>
        <v>5248.6694999999991</v>
      </c>
      <c r="K26" s="14"/>
      <c r="L26" s="12">
        <f>L25*0.15</f>
        <v>5249.7296389235953</v>
      </c>
    </row>
    <row r="27" spans="1:12" x14ac:dyDescent="0.25">
      <c r="A27" s="8"/>
      <c r="B27" s="11"/>
      <c r="C27" s="8"/>
      <c r="D27" s="9"/>
      <c r="E27" s="8"/>
      <c r="F27" s="8"/>
      <c r="G27" s="8"/>
      <c r="H27" s="107" t="s">
        <v>16</v>
      </c>
      <c r="I27" s="108"/>
      <c r="J27" s="12">
        <f>J26+J25</f>
        <v>40239.799499999994</v>
      </c>
      <c r="K27" s="15"/>
      <c r="L27" s="12">
        <f>L29/1.01</f>
        <v>40247.927231747562</v>
      </c>
    </row>
    <row r="28" spans="1:12" x14ac:dyDescent="0.25">
      <c r="A28" s="8"/>
      <c r="B28" s="11"/>
      <c r="C28" s="8"/>
      <c r="D28" s="9"/>
      <c r="E28" s="8"/>
      <c r="F28" s="8"/>
      <c r="G28" s="8"/>
      <c r="H28" s="105" t="s">
        <v>39</v>
      </c>
      <c r="I28" s="105"/>
      <c r="J28" s="12">
        <v>82.781145161287512</v>
      </c>
      <c r="K28" s="70"/>
      <c r="L28" s="12">
        <f>L27*0.01</f>
        <v>402.47927231747565</v>
      </c>
    </row>
    <row r="29" spans="1:12" x14ac:dyDescent="0.25">
      <c r="A29" s="8"/>
      <c r="B29" s="11"/>
      <c r="C29" s="8"/>
      <c r="D29" s="9"/>
      <c r="E29" s="8"/>
      <c r="F29" s="8"/>
      <c r="G29" s="8"/>
      <c r="H29" s="107" t="s">
        <v>16</v>
      </c>
      <c r="I29" s="108"/>
      <c r="J29" s="12">
        <f>J27+J28</f>
        <v>40322.580645161281</v>
      </c>
      <c r="K29" s="15"/>
      <c r="L29" s="12">
        <f>L32/1.23</f>
        <v>40650.406504065038</v>
      </c>
    </row>
    <row r="30" spans="1:12" x14ac:dyDescent="0.25">
      <c r="A30" s="8"/>
      <c r="B30" s="11"/>
      <c r="C30" s="8"/>
      <c r="D30" s="9"/>
      <c r="E30" s="8"/>
      <c r="F30" s="8"/>
      <c r="G30" s="8"/>
      <c r="H30" s="105" t="s">
        <v>94</v>
      </c>
      <c r="I30" s="105"/>
      <c r="J30" s="12">
        <f>J29*0.24</f>
        <v>9677.4193548387066</v>
      </c>
      <c r="K30" s="15"/>
      <c r="L30" s="12">
        <f>L29*0.23</f>
        <v>9349.5934959349597</v>
      </c>
    </row>
    <row r="31" spans="1:12" x14ac:dyDescent="0.25">
      <c r="A31" s="8"/>
      <c r="B31" s="11"/>
      <c r="C31" s="8"/>
      <c r="D31" s="9"/>
      <c r="E31" s="8"/>
      <c r="F31" s="8"/>
      <c r="G31" s="8"/>
      <c r="H31" s="105"/>
      <c r="I31" s="105"/>
      <c r="J31" s="12"/>
      <c r="K31" s="13"/>
      <c r="L31" s="12"/>
    </row>
    <row r="32" spans="1:12" x14ac:dyDescent="0.25">
      <c r="A32" s="8"/>
      <c r="B32" s="11"/>
      <c r="C32" s="8"/>
      <c r="D32" s="9"/>
      <c r="E32" s="8"/>
      <c r="F32" s="8"/>
      <c r="G32" s="8"/>
      <c r="H32" s="104" t="s">
        <v>18</v>
      </c>
      <c r="I32" s="104"/>
      <c r="J32" s="10">
        <f>J27+J28+J30</f>
        <v>49999.999999999985</v>
      </c>
      <c r="K32" s="13"/>
      <c r="L32" s="10">
        <v>50000</v>
      </c>
    </row>
    <row r="33" spans="2:9" x14ac:dyDescent="0.25">
      <c r="E33" s="16" t="s">
        <v>110</v>
      </c>
      <c r="G33" s="29"/>
      <c r="H33" s="29"/>
      <c r="I33" s="17" t="s">
        <v>22</v>
      </c>
    </row>
    <row r="34" spans="2:9" ht="15" customHeight="1" x14ac:dyDescent="0.25">
      <c r="B34" s="17" t="s">
        <v>23</v>
      </c>
      <c r="D34" s="101" t="s">
        <v>26</v>
      </c>
      <c r="E34" s="101"/>
      <c r="F34" s="101"/>
      <c r="I34" s="30" t="s">
        <v>42</v>
      </c>
    </row>
    <row r="35" spans="2:9" x14ac:dyDescent="0.25">
      <c r="D35" s="101" t="s">
        <v>40</v>
      </c>
      <c r="E35" s="101"/>
      <c r="F35" s="101"/>
      <c r="I35" s="17" t="s">
        <v>43</v>
      </c>
    </row>
    <row r="36" spans="2:9" x14ac:dyDescent="0.25">
      <c r="I36" s="17"/>
    </row>
    <row r="37" spans="2:9" x14ac:dyDescent="0.25">
      <c r="I37" s="17"/>
    </row>
    <row r="39" spans="2:9" x14ac:dyDescent="0.25">
      <c r="B39" s="17" t="s">
        <v>25</v>
      </c>
      <c r="D39" s="101" t="s">
        <v>41</v>
      </c>
      <c r="E39" s="101"/>
      <c r="F39" s="101"/>
      <c r="I39" s="17" t="s">
        <v>24</v>
      </c>
    </row>
    <row r="40" spans="2:9" x14ac:dyDescent="0.25">
      <c r="B40" s="17" t="s">
        <v>27</v>
      </c>
      <c r="D40" s="101" t="s">
        <v>27</v>
      </c>
      <c r="E40" s="101"/>
      <c r="F40" s="101"/>
      <c r="I40" s="17" t="s">
        <v>27</v>
      </c>
    </row>
  </sheetData>
  <sortState ref="A9:J19">
    <sortCondition ref="C9:C19"/>
  </sortState>
  <mergeCells count="27">
    <mergeCell ref="D40:F40"/>
    <mergeCell ref="D35:F35"/>
    <mergeCell ref="D34:F34"/>
    <mergeCell ref="D39:F39"/>
    <mergeCell ref="H21:I21"/>
    <mergeCell ref="H23:I23"/>
    <mergeCell ref="H32:I32"/>
    <mergeCell ref="H24:I24"/>
    <mergeCell ref="H25:I25"/>
    <mergeCell ref="H26:I26"/>
    <mergeCell ref="H27:I27"/>
    <mergeCell ref="H30:I30"/>
    <mergeCell ref="H31:I31"/>
    <mergeCell ref="H28:I28"/>
    <mergeCell ref="H29:I29"/>
    <mergeCell ref="F1:J3"/>
    <mergeCell ref="A6:J6"/>
    <mergeCell ref="J7:J8"/>
    <mergeCell ref="G7:G8"/>
    <mergeCell ref="A7:A8"/>
    <mergeCell ref="B7:B8"/>
    <mergeCell ref="C7:C8"/>
    <mergeCell ref="D7:D8"/>
    <mergeCell ref="E7:E8"/>
    <mergeCell ref="F7:F8"/>
    <mergeCell ref="H7:H8"/>
    <mergeCell ref="I7:I8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105" firstPageNumber="0" orientation="landscape" horizontalDpi="300" verticalDpi="300" r:id="rId1"/>
  <headerFooter alignWithMargins="0"/>
  <rowBreaks count="1" manualBreakCount="1">
    <brk id="2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opLeftCell="B10" workbookViewId="0">
      <selection activeCell="H20" sqref="H20"/>
    </sheetView>
  </sheetViews>
  <sheetFormatPr defaultRowHeight="12.75" x14ac:dyDescent="0.2"/>
  <cols>
    <col min="1" max="1" width="4" style="31" customWidth="1"/>
    <col min="2" max="2" width="19.28515625" style="31" customWidth="1"/>
    <col min="3" max="3" width="10.85546875" style="31" customWidth="1"/>
    <col min="4" max="4" width="5.7109375" style="31" customWidth="1"/>
    <col min="5" max="5" width="5.85546875" style="31" customWidth="1"/>
    <col min="6" max="6" width="4.7109375" style="31" customWidth="1"/>
    <col min="7" max="7" width="17" style="31" customWidth="1"/>
    <col min="8" max="8" width="9.42578125" style="31" customWidth="1"/>
    <col min="9" max="9" width="10.7109375" style="31" customWidth="1"/>
    <col min="10" max="11" width="11.85546875" style="31" customWidth="1"/>
    <col min="12" max="12" width="17" style="31" customWidth="1"/>
    <col min="13" max="13" width="12.7109375" style="31" bestFit="1" customWidth="1"/>
    <col min="14" max="14" width="11.5703125" style="31" customWidth="1"/>
    <col min="15" max="15" width="4.85546875" style="31" customWidth="1"/>
    <col min="16" max="16384" width="9.140625" style="31"/>
  </cols>
  <sheetData>
    <row r="1" spans="1:16" ht="46.5" customHeight="1" x14ac:dyDescent="0.2">
      <c r="B1" s="32" t="s">
        <v>44</v>
      </c>
      <c r="C1" s="40" t="s">
        <v>45</v>
      </c>
      <c r="D1" s="40"/>
      <c r="E1" s="40"/>
      <c r="F1" s="40"/>
      <c r="G1" s="40" t="s">
        <v>55</v>
      </c>
      <c r="H1" s="40" t="s">
        <v>46</v>
      </c>
      <c r="I1" s="40" t="s">
        <v>47</v>
      </c>
      <c r="J1" s="40" t="s">
        <v>48</v>
      </c>
      <c r="K1" s="40" t="s">
        <v>68</v>
      </c>
      <c r="L1" s="40" t="s">
        <v>49</v>
      </c>
      <c r="M1" s="40" t="s">
        <v>53</v>
      </c>
      <c r="N1" s="40" t="s">
        <v>54</v>
      </c>
      <c r="O1" s="40">
        <v>12</v>
      </c>
      <c r="P1" s="40"/>
    </row>
    <row r="2" spans="1:16" x14ac:dyDescent="0.2">
      <c r="B2" s="32"/>
    </row>
    <row r="3" spans="1:16" x14ac:dyDescent="0.2">
      <c r="B3" s="75" t="s">
        <v>87</v>
      </c>
      <c r="C3" s="35">
        <v>0.9</v>
      </c>
      <c r="G3" s="34">
        <v>68.98</v>
      </c>
      <c r="H3" s="35">
        <f>C3*133+G3*1.15</f>
        <v>199.02699999999999</v>
      </c>
      <c r="I3" s="35">
        <f>0.05*1*1.6</f>
        <v>8.0000000000000016E-2</v>
      </c>
      <c r="J3" s="35">
        <f>0.03*H3</f>
        <v>5.9708099999999993</v>
      </c>
      <c r="K3" s="35">
        <f>G19*28+F21*2.4</f>
        <v>29.391999999999996</v>
      </c>
      <c r="L3" s="36">
        <f>H3+J3+I3*72.3+K3</f>
        <v>240.17380999999997</v>
      </c>
      <c r="M3" s="54">
        <f>L3*1.18*1.15*1.23</f>
        <v>400.87650800909989</v>
      </c>
      <c r="N3" s="41">
        <f>ROUND(M3*$O$1, 2)</f>
        <v>4810.5200000000004</v>
      </c>
    </row>
    <row r="4" spans="1:16" x14ac:dyDescent="0.2">
      <c r="B4" s="32"/>
    </row>
    <row r="5" spans="1:16" x14ac:dyDescent="0.2">
      <c r="A5" s="33">
        <v>1</v>
      </c>
      <c r="B5" s="71" t="s">
        <v>50</v>
      </c>
      <c r="C5" s="34">
        <v>0.93</v>
      </c>
      <c r="D5" s="34"/>
      <c r="E5" s="34"/>
      <c r="F5" s="34"/>
      <c r="G5" s="34">
        <f>ROUND(72.18*1.15, 2)</f>
        <v>83.01</v>
      </c>
      <c r="H5" s="35">
        <f>C5*133+G5*1.15</f>
        <v>219.1515</v>
      </c>
      <c r="I5" s="35">
        <f>0.05*1*1.4</f>
        <v>6.9999999999999993E-2</v>
      </c>
      <c r="J5" s="35">
        <f>0.03*H5</f>
        <v>6.5745449999999996</v>
      </c>
      <c r="K5" s="35">
        <f>G25*28+F27*2.4</f>
        <v>32.768000000000001</v>
      </c>
      <c r="L5" s="36">
        <f>H5+J5+I5*72.3+K5</f>
        <v>263.55504500000001</v>
      </c>
      <c r="M5" s="54">
        <f>L5*1.18*1.15*1.23</f>
        <v>439.90236115994992</v>
      </c>
      <c r="N5" s="41">
        <f>ROUND(M5*$O$1, 2)</f>
        <v>5278.83</v>
      </c>
    </row>
    <row r="6" spans="1:16" x14ac:dyDescent="0.2">
      <c r="A6" s="33"/>
      <c r="B6" s="37"/>
      <c r="C6" s="34"/>
      <c r="D6" s="34"/>
      <c r="E6" s="34"/>
      <c r="F6" s="34"/>
      <c r="G6" s="34"/>
      <c r="H6" s="34"/>
      <c r="I6" s="34"/>
      <c r="J6" s="35"/>
      <c r="K6" s="35"/>
      <c r="L6" s="36"/>
      <c r="M6" s="42"/>
      <c r="N6" s="41"/>
    </row>
    <row r="7" spans="1:16" x14ac:dyDescent="0.2">
      <c r="A7" s="33">
        <v>2</v>
      </c>
      <c r="B7" s="63" t="s">
        <v>51</v>
      </c>
      <c r="C7" s="34">
        <v>1.24</v>
      </c>
      <c r="D7" s="34"/>
      <c r="E7" s="34"/>
      <c r="F7" s="34"/>
      <c r="G7" s="34">
        <f>ROUND(85.75*1.15, 2)</f>
        <v>98.61</v>
      </c>
      <c r="H7" s="35">
        <f>C7*133+G7*1.15</f>
        <v>278.32149999999996</v>
      </c>
      <c r="I7" s="35">
        <f>0.05*1*1.7</f>
        <v>8.5000000000000006E-2</v>
      </c>
      <c r="J7" s="35">
        <f t="shared" ref="J7:J9" si="0">0.03*H7</f>
        <v>8.3496449999999989</v>
      </c>
      <c r="K7" s="35">
        <f>G31*28+F33*2.4</f>
        <v>39.519999999999996</v>
      </c>
      <c r="L7" s="36">
        <f>H7+J7+I7*72.3+K7</f>
        <v>332.33664499999998</v>
      </c>
      <c r="M7" s="43">
        <f t="shared" ref="M7:M9" si="1">L7*1.18*1.15*1.23</f>
        <v>554.70641753594987</v>
      </c>
      <c r="N7" s="41">
        <f>ROUND(M7*$O$1, 2)</f>
        <v>6656.48</v>
      </c>
    </row>
    <row r="8" spans="1:16" x14ac:dyDescent="0.2">
      <c r="A8" s="33"/>
      <c r="B8" s="37"/>
      <c r="C8" s="34"/>
      <c r="D8" s="34"/>
      <c r="E8" s="34"/>
      <c r="F8" s="34"/>
      <c r="G8" s="34"/>
      <c r="H8" s="34"/>
      <c r="I8" s="34"/>
      <c r="J8" s="35"/>
      <c r="K8" s="35"/>
      <c r="L8" s="36"/>
      <c r="M8" s="42"/>
      <c r="N8" s="41"/>
    </row>
    <row r="9" spans="1:16" x14ac:dyDescent="0.2">
      <c r="A9" s="33">
        <v>3</v>
      </c>
      <c r="B9" s="62" t="s">
        <v>52</v>
      </c>
      <c r="C9" s="34">
        <v>1.84</v>
      </c>
      <c r="D9" s="34"/>
      <c r="E9" s="34"/>
      <c r="F9" s="34"/>
      <c r="G9" s="34">
        <f>ROUND(103.43*1.15, 2)</f>
        <v>118.94</v>
      </c>
      <c r="H9" s="35">
        <f>C9*133+G9*1.15</f>
        <v>381.50099999999998</v>
      </c>
      <c r="I9" s="35">
        <f>0.05*1*2.55</f>
        <v>0.1275</v>
      </c>
      <c r="J9" s="35">
        <f t="shared" si="0"/>
        <v>11.445029999999999</v>
      </c>
      <c r="K9" s="35">
        <f>G37*28+F39*2.4</f>
        <v>59.776000000000003</v>
      </c>
      <c r="L9" s="36">
        <f>H9+J9+I9*72.3+K9</f>
        <v>461.94027999999997</v>
      </c>
      <c r="M9" s="44">
        <f t="shared" si="1"/>
        <v>771.02914075079991</v>
      </c>
      <c r="N9" s="41">
        <f>ROUND(M9*$O$1, 2)</f>
        <v>9252.35</v>
      </c>
    </row>
    <row r="10" spans="1:16" x14ac:dyDescent="0.2">
      <c r="L10" s="39"/>
      <c r="M10" s="38"/>
    </row>
    <row r="11" spans="1:16" x14ac:dyDescent="0.2">
      <c r="N11" s="45">
        <f>N5+N7+N9</f>
        <v>21187.66</v>
      </c>
    </row>
    <row r="16" spans="1:16" x14ac:dyDescent="0.2">
      <c r="B16" s="46" t="s">
        <v>57</v>
      </c>
      <c r="C16" s="47" t="s">
        <v>58</v>
      </c>
      <c r="D16" s="47"/>
      <c r="E16" s="47"/>
      <c r="F16" s="47"/>
    </row>
    <row r="18" spans="2:8" x14ac:dyDescent="0.2">
      <c r="B18" s="75" t="s">
        <v>88</v>
      </c>
      <c r="C18" s="76"/>
      <c r="D18" s="77" t="s">
        <v>61</v>
      </c>
      <c r="E18" s="77" t="s">
        <v>60</v>
      </c>
      <c r="F18" s="77" t="s">
        <v>62</v>
      </c>
      <c r="G18" s="77" t="s">
        <v>66</v>
      </c>
    </row>
    <row r="19" spans="2:8" x14ac:dyDescent="0.2">
      <c r="C19" s="78" t="s">
        <v>59</v>
      </c>
      <c r="D19" s="79">
        <v>0.7</v>
      </c>
      <c r="E19" s="79">
        <v>1</v>
      </c>
      <c r="F19" s="79">
        <v>1</v>
      </c>
      <c r="G19" s="80">
        <f>D19*E19*F19</f>
        <v>0.7</v>
      </c>
      <c r="H19" s="47" t="s">
        <v>90</v>
      </c>
    </row>
    <row r="20" spans="2:8" x14ac:dyDescent="0.2">
      <c r="C20" s="76"/>
      <c r="D20" s="77" t="s">
        <v>64</v>
      </c>
      <c r="E20" s="77" t="s">
        <v>65</v>
      </c>
      <c r="F20" s="109" t="s">
        <v>67</v>
      </c>
      <c r="G20" s="109"/>
    </row>
    <row r="21" spans="2:8" x14ac:dyDescent="0.2">
      <c r="C21" s="78" t="s">
        <v>63</v>
      </c>
      <c r="D21" s="81">
        <v>1.4</v>
      </c>
      <c r="E21" s="81">
        <f>2*E19</f>
        <v>2</v>
      </c>
      <c r="F21" s="110">
        <f>(D21+E21)*1.2</f>
        <v>4.08</v>
      </c>
      <c r="G21" s="110"/>
    </row>
    <row r="22" spans="2:8" x14ac:dyDescent="0.2">
      <c r="C22" s="72"/>
      <c r="D22" s="73"/>
      <c r="E22" s="73"/>
      <c r="F22" s="74"/>
      <c r="G22" s="74"/>
    </row>
    <row r="23" spans="2:8" x14ac:dyDescent="0.2">
      <c r="C23" s="72"/>
      <c r="D23" s="73"/>
      <c r="E23" s="73"/>
      <c r="F23" s="74"/>
      <c r="G23" s="74"/>
    </row>
    <row r="24" spans="2:8" x14ac:dyDescent="0.2">
      <c r="B24" s="61" t="s">
        <v>56</v>
      </c>
      <c r="C24" s="55"/>
      <c r="D24" s="56" t="s">
        <v>61</v>
      </c>
      <c r="E24" s="56" t="s">
        <v>60</v>
      </c>
      <c r="F24" s="56" t="s">
        <v>62</v>
      </c>
      <c r="G24" s="56" t="s">
        <v>66</v>
      </c>
    </row>
    <row r="25" spans="2:8" x14ac:dyDescent="0.2">
      <c r="C25" s="57" t="s">
        <v>59</v>
      </c>
      <c r="D25" s="58">
        <v>1</v>
      </c>
      <c r="E25" s="58">
        <v>0.8</v>
      </c>
      <c r="F25" s="58">
        <v>1</v>
      </c>
      <c r="G25" s="59">
        <f>D25*E25*F25</f>
        <v>0.8</v>
      </c>
    </row>
    <row r="26" spans="2:8" x14ac:dyDescent="0.2">
      <c r="C26" s="55"/>
      <c r="D26" s="56" t="s">
        <v>64</v>
      </c>
      <c r="E26" s="56" t="s">
        <v>65</v>
      </c>
      <c r="F26" s="112" t="s">
        <v>67</v>
      </c>
      <c r="G26" s="112"/>
    </row>
    <row r="27" spans="2:8" x14ac:dyDescent="0.2">
      <c r="C27" s="57" t="s">
        <v>63</v>
      </c>
      <c r="D27" s="60">
        <f>2</f>
        <v>2</v>
      </c>
      <c r="E27" s="60">
        <f>2*E25</f>
        <v>1.6</v>
      </c>
      <c r="F27" s="113">
        <f>(D27+E27)*1.2</f>
        <v>4.32</v>
      </c>
      <c r="G27" s="113"/>
    </row>
    <row r="30" spans="2:8" x14ac:dyDescent="0.2">
      <c r="B30" s="63" t="s">
        <v>69</v>
      </c>
      <c r="C30" s="64"/>
      <c r="D30" s="65" t="s">
        <v>61</v>
      </c>
      <c r="E30" s="65" t="s">
        <v>60</v>
      </c>
      <c r="F30" s="65" t="s">
        <v>62</v>
      </c>
      <c r="G30" s="65" t="s">
        <v>66</v>
      </c>
    </row>
    <row r="31" spans="2:8" x14ac:dyDescent="0.2">
      <c r="C31" s="66" t="s">
        <v>59</v>
      </c>
      <c r="D31" s="67">
        <v>1</v>
      </c>
      <c r="E31" s="67">
        <v>1</v>
      </c>
      <c r="F31" s="67">
        <v>1</v>
      </c>
      <c r="G31" s="68">
        <f>D31*E31*F31</f>
        <v>1</v>
      </c>
    </row>
    <row r="32" spans="2:8" x14ac:dyDescent="0.2">
      <c r="C32" s="64"/>
      <c r="D32" s="65" t="s">
        <v>64</v>
      </c>
      <c r="E32" s="65" t="s">
        <v>65</v>
      </c>
      <c r="F32" s="114" t="s">
        <v>67</v>
      </c>
      <c r="G32" s="114"/>
    </row>
    <row r="33" spans="2:9" x14ac:dyDescent="0.2">
      <c r="C33" s="66" t="s">
        <v>63</v>
      </c>
      <c r="D33" s="69">
        <f>2</f>
        <v>2</v>
      </c>
      <c r="E33" s="69">
        <f>2*E31</f>
        <v>2</v>
      </c>
      <c r="F33" s="115">
        <f>(D33+E33)*1.2</f>
        <v>4.8</v>
      </c>
      <c r="G33" s="115"/>
    </row>
    <row r="36" spans="2:9" x14ac:dyDescent="0.2">
      <c r="B36" s="62" t="s">
        <v>70</v>
      </c>
      <c r="C36" s="48"/>
      <c r="D36" s="49" t="s">
        <v>61</v>
      </c>
      <c r="E36" s="49" t="s">
        <v>60</v>
      </c>
      <c r="F36" s="49" t="s">
        <v>62</v>
      </c>
      <c r="G36" s="49" t="s">
        <v>66</v>
      </c>
    </row>
    <row r="37" spans="2:9" x14ac:dyDescent="0.2">
      <c r="C37" s="50" t="s">
        <v>59</v>
      </c>
      <c r="D37" s="51">
        <v>1</v>
      </c>
      <c r="E37" s="51">
        <v>1.6</v>
      </c>
      <c r="F37" s="51">
        <v>1</v>
      </c>
      <c r="G37" s="52">
        <f>D37*E37*F37</f>
        <v>1.6</v>
      </c>
    </row>
    <row r="38" spans="2:9" x14ac:dyDescent="0.2">
      <c r="C38" s="48"/>
      <c r="D38" s="49" t="s">
        <v>64</v>
      </c>
      <c r="E38" s="49" t="s">
        <v>65</v>
      </c>
      <c r="F38" s="116" t="s">
        <v>67</v>
      </c>
      <c r="G38" s="116"/>
    </row>
    <row r="39" spans="2:9" x14ac:dyDescent="0.2">
      <c r="C39" s="50" t="s">
        <v>63</v>
      </c>
      <c r="D39" s="53">
        <f>2</f>
        <v>2</v>
      </c>
      <c r="E39" s="53">
        <f>2*E37</f>
        <v>3.2</v>
      </c>
      <c r="F39" s="111">
        <f>(D39+E39)*1.2</f>
        <v>6.24</v>
      </c>
      <c r="G39" s="111"/>
    </row>
    <row r="42" spans="2:9" x14ac:dyDescent="0.2">
      <c r="I42" s="78" t="s">
        <v>89</v>
      </c>
    </row>
    <row r="43" spans="2:9" x14ac:dyDescent="0.2">
      <c r="B43" s="47" t="s">
        <v>74</v>
      </c>
      <c r="C43" s="31">
        <f>3*$O$1*(I5+I7+I9)</f>
        <v>10.169999999999998</v>
      </c>
      <c r="G43" s="47" t="s">
        <v>79</v>
      </c>
      <c r="I43" s="76">
        <f>3*$O$1*(I3)</f>
        <v>2.8800000000000008</v>
      </c>
    </row>
    <row r="44" spans="2:9" x14ac:dyDescent="0.2">
      <c r="B44" s="47" t="s">
        <v>75</v>
      </c>
      <c r="C44" s="31">
        <f>$O$1*3*(C5+C7+C9)</f>
        <v>144.35999999999999</v>
      </c>
      <c r="G44" s="47" t="s">
        <v>80</v>
      </c>
      <c r="I44" s="76">
        <f>$O$1*3*C3</f>
        <v>32.4</v>
      </c>
    </row>
    <row r="45" spans="2:9" x14ac:dyDescent="0.2">
      <c r="B45" s="47" t="s">
        <v>76</v>
      </c>
      <c r="C45" s="31">
        <f>$O$1*3*(G5+G7+G9)</f>
        <v>10820.16</v>
      </c>
      <c r="G45" s="47" t="s">
        <v>81</v>
      </c>
      <c r="I45" s="76">
        <f>$O$1*3*(G3)</f>
        <v>2483.2800000000002</v>
      </c>
    </row>
    <row r="46" spans="2:9" x14ac:dyDescent="0.2">
      <c r="B46" s="47" t="s">
        <v>77</v>
      </c>
      <c r="C46" s="31">
        <f>$O$1*3*(G25+G31+G37)</f>
        <v>122.4</v>
      </c>
      <c r="G46" s="47" t="s">
        <v>78</v>
      </c>
      <c r="I46" s="76">
        <f>$O$1*3*(G19)</f>
        <v>25.2</v>
      </c>
    </row>
  </sheetData>
  <mergeCells count="8">
    <mergeCell ref="F20:G20"/>
    <mergeCell ref="F21:G21"/>
    <mergeCell ref="F39:G39"/>
    <mergeCell ref="F26:G26"/>
    <mergeCell ref="F27:G27"/>
    <mergeCell ref="F32:G32"/>
    <mergeCell ref="F33:G33"/>
    <mergeCell ref="F38:G38"/>
  </mergeCells>
  <pageMargins left="0.75" right="0.75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ΠΡΟΥΠΟΛΟΓΙΣΜΟΣ</vt:lpstr>
      <vt:lpstr>υπολογισμός κόστους 1μ τοιχ</vt:lpstr>
      <vt:lpstr>Excel_BuiltIn_Print_Titles_3</vt:lpstr>
      <vt:lpstr>ΠΡΟΥΠΟΛΟΓΙΣΜΟΣ!Print_Area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IK</cp:lastModifiedBy>
  <cp:lastPrinted>2017-05-23T08:05:35Z</cp:lastPrinted>
  <dcterms:created xsi:type="dcterms:W3CDTF">2011-09-06T07:34:52Z</dcterms:created>
  <dcterms:modified xsi:type="dcterms:W3CDTF">2017-05-23T08:06:25Z</dcterms:modified>
</cp:coreProperties>
</file>